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Debt_fund_taxation" sheetId="1" r:id="rId4"/>
    <sheet state="visible" name="Calculation" sheetId="2" r:id="rId5"/>
  </sheets>
  <definedNames/>
  <calcPr/>
  <extLst>
    <ext uri="GoogleSheetsCustomDataVersion1">
      <go:sheetsCustomData xmlns:go="http://customooxmlschemas.google.com/" r:id="rId6" roundtripDataSignature="AMtx7micQ/XvKSnqT3kI92C9DvPejaE48g=="/>
    </ext>
  </extLst>
</workbook>
</file>

<file path=xl/sharedStrings.xml><?xml version="1.0" encoding="utf-8"?>
<sst xmlns="http://schemas.openxmlformats.org/spreadsheetml/2006/main" count="128" uniqueCount="64">
  <si>
    <t>Income and debt fund tax calculator effective April 1, 2023</t>
  </si>
  <si>
    <t>Total income</t>
  </si>
  <si>
    <t>&lt;-- Sum of all income</t>
  </si>
  <si>
    <t>Deduction</t>
  </si>
  <si>
    <t>&lt;-- Sum of applicable deductions under old regime excluding standard deduction of Rs.50,000</t>
  </si>
  <si>
    <t>Debt fund investment cost</t>
  </si>
  <si>
    <t>Purchased before April 1, 2023</t>
  </si>
  <si>
    <t>Yes</t>
  </si>
  <si>
    <t>Estimated CII increase</t>
  </si>
  <si>
    <t>&lt;-- Your expected yearly increase in cost inflation index between debt fund investment and redemption</t>
  </si>
  <si>
    <t>primeinvestor.in</t>
  </si>
  <si>
    <t>Estimated Debt fund returns</t>
  </si>
  <si>
    <t>&lt;-- Your expected yearly return of the debt fund between the investment and redemption</t>
  </si>
  <si>
    <t>Enter in green cells only</t>
  </si>
  <si>
    <t>Holding duration</t>
  </si>
  <si>
    <t>&lt;-- Holding duration of the debt fund in years</t>
  </si>
  <si>
    <t>The objective of the sheet is to estimate the tax impact of redeeming debt funds for various tax slabs under new and old regimes. It does not account for other components such as capital gains from equity. This tool shouldn't be used for tax guidance and PrimeInvestor is not responsible for its accuracy.</t>
  </si>
  <si>
    <t>Under old regime:</t>
  </si>
  <si>
    <t>Your tax without debt fund redemption is</t>
  </si>
  <si>
    <t>Your tax with debt fund redemption is</t>
  </si>
  <si>
    <t>Under new regime:</t>
  </si>
  <si>
    <t>Old regime</t>
  </si>
  <si>
    <t>New regime</t>
  </si>
  <si>
    <t>Debt fund taxation</t>
  </si>
  <si>
    <t>Tax without capital gains</t>
  </si>
  <si>
    <t>Capital gain calculation</t>
  </si>
  <si>
    <t>Income</t>
  </si>
  <si>
    <t>Debt fund final value</t>
  </si>
  <si>
    <t>Rebate cut off</t>
  </si>
  <si>
    <t>Indexed cost</t>
  </si>
  <si>
    <t>Std deduction</t>
  </si>
  <si>
    <t>Gain w/o indexation</t>
  </si>
  <si>
    <t>Other deductions</t>
  </si>
  <si>
    <t>Gain with indexation</t>
  </si>
  <si>
    <t>Taxable income</t>
  </si>
  <si>
    <t>Debt fund indexed tax rate</t>
  </si>
  <si>
    <t>slabs and calculation</t>
  </si>
  <si>
    <t>Debt fund indexed tax</t>
  </si>
  <si>
    <t>Slab</t>
  </si>
  <si>
    <t>cut off</t>
  </si>
  <si>
    <t>rate</t>
  </si>
  <si>
    <t>Income under slab</t>
  </si>
  <si>
    <t>cum.inc till slab</t>
  </si>
  <si>
    <t>Tax under slab</t>
  </si>
  <si>
    <t>Debt fund indexed tax with cess</t>
  </si>
  <si>
    <t>upto 2.5L</t>
  </si>
  <si>
    <t>upto 3L</t>
  </si>
  <si>
    <t>2.5 to 5L</t>
  </si>
  <si>
    <t>3 to 6L</t>
  </si>
  <si>
    <t>5 to 10L</t>
  </si>
  <si>
    <t>6 to 9L</t>
  </si>
  <si>
    <t>above 10L</t>
  </si>
  <si>
    <t>9 to 12L</t>
  </si>
  <si>
    <t>Slab tax</t>
  </si>
  <si>
    <t>12 to 15L</t>
  </si>
  <si>
    <t>Rebate eligeble?</t>
  </si>
  <si>
    <t>above 15L</t>
  </si>
  <si>
    <t>Cess</t>
  </si>
  <si>
    <t>Tax with Cess</t>
  </si>
  <si>
    <t>Mar. rel.tax</t>
  </si>
  <si>
    <t>Tax with rebate</t>
  </si>
  <si>
    <t>Effective tax</t>
  </si>
  <si>
    <t>Tax with capital gains</t>
  </si>
  <si>
    <t>Total tax</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</si>
</sst>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0"/>
  </numFmts>
  <fonts count="8">
    <font>
      <sz val="10.0"/>
      <color rgb="FF000000"/>
      <name val="Arial"/>
      <scheme val="minor"/>
    </font>
    <font>
      <b/>
      <sz val="10.0"/>
      <color rgb="FF000000"/>
      <name val="Arial"/>
    </font>
    <font>
      <sz val="10.0"/>
      <color theme="1"/>
      <name val="Arial"/>
    </font>
    <font>
      <color rgb="FF7F6000"/>
      <name val="Arial"/>
    </font>
    <font>
      <u/>
      <color rgb="FF7F6000"/>
    </font>
    <font>
      <color theme="1"/>
      <name val="Arial"/>
    </font>
    <font/>
    <font>
      <b/>
      <sz val="10.0"/>
      <color theme="1"/>
      <name val="Arial"/>
    </font>
  </fonts>
  <fills count="4">
    <fill>
      <patternFill patternType="none"/>
    </fill>
    <fill>
      <patternFill patternType="lightGray"/>
    </fill>
    <fill>
      <patternFill patternType="solid">
        <fgColor rgb="FFB6D7A8"/>
        <bgColor rgb="FFB6D7A8"/>
      </patternFill>
    </fill>
    <fill>
      <patternFill patternType="solid">
        <fgColor rgb="FFA2C4C9"/>
        <bgColor rgb="FFA2C4C9"/>
      </patternFill>
    </fill>
  </fills>
  <borders count="6">
    <border/>
    <border>
      <left style="thin">
        <color rgb="FF000000"/>
      </left>
      <right style="thin">
        <color rgb="FF000000"/>
      </right>
      <top style="thin">
        <color rgb="FF000000"/>
      </top>
      <bottom style="thin">
        <color rgb="FF000000"/>
      </bottom>
    </border>
    <border>
      <left style="thin">
        <color rgb="FF000000"/>
      </left>
      <right style="thin">
        <color rgb="FF000000"/>
      </right>
      <top style="thin">
        <color rgb="FF000000"/>
      </top>
    </border>
    <border>
      <left style="thin">
        <color rgb="FF000000"/>
      </left>
      <right style="thin">
        <color rgb="FF000000"/>
      </right>
    </border>
    <border>
      <left style="thin">
        <color rgb="FF000000"/>
      </left>
      <right style="thin">
        <color rgb="FF000000"/>
      </right>
      <bottom style="thin">
        <color rgb="FF000000"/>
      </bottom>
    </border>
    <border>
      <left/>
      <right/>
      <top/>
      <bottom/>
    </border>
  </borders>
  <cellStyleXfs count="1">
    <xf borderId="0" fillId="0" fontId="0" numFmtId="0" applyAlignment="1" applyFont="1"/>
  </cellStyleXfs>
  <cellXfs count="23">
    <xf borderId="0" fillId="0" fontId="0" numFmtId="0" xfId="0" applyAlignment="1" applyFont="1">
      <alignment readingOrder="0" shrinkToFit="0" vertical="bottom" wrapText="0"/>
    </xf>
    <xf borderId="0" fillId="0" fontId="1" numFmtId="0" xfId="0" applyFont="1"/>
    <xf borderId="1" fillId="0" fontId="2" numFmtId="0" xfId="0" applyBorder="1" applyFont="1"/>
    <xf borderId="1" fillId="2" fontId="2" numFmtId="164" xfId="0" applyBorder="1" applyFill="1" applyFont="1" applyNumberFormat="1"/>
    <xf borderId="0" fillId="0" fontId="2" numFmtId="0" xfId="0" applyFont="1"/>
    <xf borderId="1" fillId="2" fontId="2" numFmtId="0" xfId="0" applyAlignment="1" applyBorder="1" applyFont="1">
      <alignment horizontal="right"/>
    </xf>
    <xf borderId="1" fillId="2" fontId="2" numFmtId="10" xfId="0" applyBorder="1" applyFont="1" applyNumberFormat="1"/>
    <xf borderId="0" fillId="0" fontId="2" numFmtId="0" xfId="0" applyAlignment="1" applyFont="1">
      <alignment readingOrder="0"/>
    </xf>
    <xf borderId="0" fillId="0" fontId="3" numFmtId="0" xfId="0" applyAlignment="1" applyFont="1">
      <alignment horizontal="center"/>
    </xf>
    <xf borderId="0" fillId="0" fontId="4" numFmtId="0" xfId="0" applyAlignment="1" applyFont="1">
      <alignment horizontal="center"/>
    </xf>
    <xf borderId="1" fillId="0" fontId="2" numFmtId="0" xfId="0" applyAlignment="1" applyBorder="1" applyFont="1">
      <alignment shrinkToFit="0" wrapText="1"/>
    </xf>
    <xf borderId="1" fillId="2" fontId="2" numFmtId="0" xfId="0" applyBorder="1" applyFont="1"/>
    <xf borderId="2" fillId="0" fontId="5" numFmtId="0" xfId="0" applyAlignment="1" applyBorder="1" applyFont="1">
      <alignment shrinkToFit="0" wrapText="1"/>
    </xf>
    <xf borderId="3" fillId="0" fontId="6" numFmtId="0" xfId="0" applyBorder="1" applyFont="1"/>
    <xf borderId="0" fillId="0" fontId="7" numFmtId="0" xfId="0" applyAlignment="1" applyFont="1">
      <alignment horizontal="center"/>
    </xf>
    <xf borderId="4" fillId="0" fontId="6" numFmtId="0" xfId="0" applyBorder="1" applyFont="1"/>
    <xf borderId="1" fillId="0" fontId="7" numFmtId="164" xfId="0" applyBorder="1" applyFont="1" applyNumberFormat="1"/>
    <xf borderId="0" fillId="0" fontId="2" numFmtId="164" xfId="0" applyFont="1" applyNumberFormat="1"/>
    <xf borderId="0" fillId="0" fontId="2" numFmtId="9" xfId="0" applyFont="1" applyNumberFormat="1"/>
    <xf borderId="5" fillId="3" fontId="2" numFmtId="0" xfId="0" applyBorder="1" applyFill="1" applyFont="1"/>
    <xf borderId="5" fillId="3" fontId="2" numFmtId="0" xfId="0" applyAlignment="1" applyBorder="1" applyFont="1">
      <alignment horizontal="right"/>
    </xf>
    <xf borderId="5" fillId="3" fontId="2" numFmtId="9" xfId="0" applyAlignment="1" applyBorder="1" applyFont="1" applyNumberFormat="1">
      <alignment horizontal="right"/>
    </xf>
    <xf borderId="5" fillId="3" fontId="2" numFmtId="164" xfId="0" applyAlignment="1" applyBorder="1" applyFont="1" applyNumberFormat="1">
      <alignment horizontal="right"/>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customschemas.google.com/relationships/workbookmetadata" Target="metadata"/></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5</xdr:col>
      <xdr:colOff>1152525</xdr:colOff>
      <xdr:row>1</xdr:row>
      <xdr:rowOff>180975</xdr:rowOff>
    </xdr:from>
    <xdr:ext cx="2400300" cy="638175"/>
    <xdr:pic>
      <xdr:nvPicPr>
        <xdr:cNvPr id="0" name="image1.png" title="Image"/>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hyperlink" Target="https://primeinvestor.in/" TargetMode="External"/><Relationship Id="rId2"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showGridLines="0" workbookViewId="0"/>
  </sheetViews>
  <sheetFormatPr customHeight="1" defaultColWidth="12.63" defaultRowHeight="15.0"/>
  <cols>
    <col customWidth="1" min="1" max="1" width="3.5"/>
    <col customWidth="1" min="2" max="2" width="31.0"/>
    <col customWidth="1" min="3" max="3" width="11.75"/>
    <col customWidth="1" min="4" max="4" width="75.5"/>
    <col customWidth="1" min="5" max="5" width="2.38"/>
    <col customWidth="1" min="6" max="6" width="63.13"/>
  </cols>
  <sheetData>
    <row r="1" ht="15.75" customHeight="1">
      <c r="B1" s="1" t="s">
        <v>0</v>
      </c>
    </row>
    <row r="2" ht="15.75" customHeight="1">
      <c r="B2" s="2" t="s">
        <v>1</v>
      </c>
      <c r="C2" s="3">
        <v>800000.0</v>
      </c>
      <c r="D2" s="4" t="s">
        <v>2</v>
      </c>
    </row>
    <row r="3" ht="15.75" customHeight="1">
      <c r="B3" s="2" t="s">
        <v>3</v>
      </c>
      <c r="C3" s="3">
        <v>150000.0</v>
      </c>
      <c r="D3" s="4" t="s">
        <v>4</v>
      </c>
    </row>
    <row r="4" ht="15.75" customHeight="1">
      <c r="B4" s="2" t="s">
        <v>5</v>
      </c>
      <c r="C4" s="3">
        <v>100000.0</v>
      </c>
    </row>
    <row r="5" ht="15.75" customHeight="1">
      <c r="B5" s="2" t="s">
        <v>6</v>
      </c>
      <c r="C5" s="5" t="s">
        <v>7</v>
      </c>
    </row>
    <row r="6" ht="15.75" customHeight="1">
      <c r="B6" s="2" t="s">
        <v>8</v>
      </c>
      <c r="C6" s="6">
        <v>0.06</v>
      </c>
      <c r="D6" s="7" t="s">
        <v>9</v>
      </c>
      <c r="E6" s="8"/>
      <c r="F6" s="9" t="s">
        <v>10</v>
      </c>
    </row>
    <row r="7" ht="15.75" customHeight="1">
      <c r="B7" s="2" t="s">
        <v>11</v>
      </c>
      <c r="C7" s="6">
        <v>0.07</v>
      </c>
      <c r="D7" s="4" t="s">
        <v>12</v>
      </c>
      <c r="F7" s="10" t="s">
        <v>13</v>
      </c>
    </row>
    <row r="8" ht="15.75" customHeight="1">
      <c r="B8" s="2" t="s">
        <v>14</v>
      </c>
      <c r="C8" s="11">
        <v>2.0</v>
      </c>
      <c r="D8" s="4" t="s">
        <v>15</v>
      </c>
      <c r="F8" s="12" t="s">
        <v>16</v>
      </c>
    </row>
    <row r="9" ht="15.75" customHeight="1">
      <c r="F9" s="13"/>
    </row>
    <row r="10" ht="15.75" customHeight="1">
      <c r="B10" s="14" t="s">
        <v>17</v>
      </c>
      <c r="F10" s="15"/>
    </row>
    <row r="11" ht="15.75" customHeight="1">
      <c r="B11" s="2" t="s">
        <v>18</v>
      </c>
      <c r="C11" s="16">
        <f>Calculation!B18</f>
        <v>33800</v>
      </c>
    </row>
    <row r="12" ht="15.75" customHeight="1">
      <c r="B12" s="2" t="s">
        <v>19</v>
      </c>
      <c r="C12" s="16">
        <f>Calculation!B40</f>
        <v>36813.92</v>
      </c>
    </row>
    <row r="13" ht="15.75" customHeight="1"/>
    <row r="14" ht="15.75" customHeight="1">
      <c r="B14" s="14" t="s">
        <v>20</v>
      </c>
    </row>
    <row r="15" ht="15.75" customHeight="1">
      <c r="B15" s="2" t="s">
        <v>18</v>
      </c>
      <c r="C15" s="16">
        <f>Calculation!I20</f>
        <v>31200</v>
      </c>
    </row>
    <row r="16" ht="15.75" customHeight="1">
      <c r="B16" s="2" t="s">
        <v>19</v>
      </c>
      <c r="C16" s="16">
        <f>Calculation!I42</f>
        <v>32706.96</v>
      </c>
    </row>
    <row r="17" ht="15.75" customHeight="1"/>
    <row r="18" ht="15.75" customHeight="1"/>
    <row r="19" ht="15.75" customHeight="1"/>
    <row r="20" ht="15.75" customHeight="1"/>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3">
    <mergeCell ref="F8:F10"/>
    <mergeCell ref="B10:C10"/>
    <mergeCell ref="B14:C14"/>
  </mergeCells>
  <dataValidations>
    <dataValidation type="list" allowBlank="1" showErrorMessage="1" sqref="C5">
      <formula1>"Yes,No"</formula1>
    </dataValidation>
  </dataValidations>
  <hyperlinks>
    <hyperlink r:id="rId1" ref="F6"/>
  </hyperlinks>
  <printOptions/>
  <pageMargins bottom="0.75" footer="0.0" header="0.0" left="0.7" right="0.7" top="0.75"/>
  <pageSetup paperSize="9" orientation="portrait"/>
  <drawing r:id="rId2"/>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5" max="15" width="19.13"/>
  </cols>
  <sheetData>
    <row r="1" ht="15.75" customHeight="1">
      <c r="A1" s="4" t="s">
        <v>21</v>
      </c>
      <c r="H1" s="4" t="s">
        <v>22</v>
      </c>
      <c r="O1" s="4" t="s">
        <v>23</v>
      </c>
    </row>
    <row r="2" ht="15.75" customHeight="1">
      <c r="A2" s="4" t="s">
        <v>24</v>
      </c>
      <c r="H2" s="4" t="s">
        <v>24</v>
      </c>
      <c r="O2" s="4" t="s">
        <v>25</v>
      </c>
    </row>
    <row r="3" ht="15.75" customHeight="1">
      <c r="A3" s="4" t="s">
        <v>26</v>
      </c>
      <c r="B3" s="17">
        <f>Debt_fund_taxation!C2</f>
        <v>800000</v>
      </c>
      <c r="H3" s="4" t="s">
        <v>26</v>
      </c>
      <c r="I3" s="17">
        <f>Debt_fund_taxation!C2</f>
        <v>800000</v>
      </c>
      <c r="O3" s="4" t="s">
        <v>27</v>
      </c>
      <c r="P3" s="17">
        <f>((1+Debt_fund_taxation!C7)^Debt_fund_taxation!C8)*Debt_fund_taxation!C4</f>
        <v>114490</v>
      </c>
    </row>
    <row r="4" ht="15.75" customHeight="1">
      <c r="A4" s="4" t="s">
        <v>28</v>
      </c>
      <c r="B4" s="17">
        <v>500000.0</v>
      </c>
      <c r="H4" s="4" t="s">
        <v>28</v>
      </c>
      <c r="I4" s="17">
        <v>700000.0</v>
      </c>
      <c r="O4" s="4" t="s">
        <v>29</v>
      </c>
      <c r="P4" s="17">
        <f>((1+Debt_fund_taxation!C6)^Debt_fund_taxation!C8)*Debt_fund_taxation!C4</f>
        <v>112360</v>
      </c>
    </row>
    <row r="5" ht="15.75" customHeight="1">
      <c r="A5" s="4" t="s">
        <v>30</v>
      </c>
      <c r="B5" s="17">
        <v>50000.0</v>
      </c>
      <c r="H5" s="4" t="s">
        <v>30</v>
      </c>
      <c r="I5" s="17">
        <v>50000.0</v>
      </c>
      <c r="O5" s="4" t="s">
        <v>31</v>
      </c>
      <c r="P5" s="17">
        <f>P3-Debt_fund_taxation!C4</f>
        <v>14490</v>
      </c>
    </row>
    <row r="6" ht="15.75" customHeight="1">
      <c r="A6" s="4" t="s">
        <v>32</v>
      </c>
      <c r="B6" s="17">
        <f>Debt_fund_taxation!C3</f>
        <v>150000</v>
      </c>
      <c r="H6" s="4" t="s">
        <v>32</v>
      </c>
      <c r="I6" s="4">
        <v>0.0</v>
      </c>
      <c r="O6" s="4" t="s">
        <v>33</v>
      </c>
      <c r="P6" s="17">
        <f>P3-P4</f>
        <v>2130</v>
      </c>
    </row>
    <row r="7" ht="15.75" customHeight="1">
      <c r="A7" s="4" t="s">
        <v>34</v>
      </c>
      <c r="B7" s="17">
        <f>IF((B3-B5-B6)&lt;0,0,(B3-B5-B6))</f>
        <v>600000</v>
      </c>
      <c r="H7" s="4" t="s">
        <v>34</v>
      </c>
      <c r="I7" s="17">
        <f>IF((I3-I5-I6)&lt;0,0,(I3-I5-I6))</f>
        <v>750000</v>
      </c>
      <c r="O7" s="4" t="s">
        <v>35</v>
      </c>
      <c r="P7" s="18">
        <v>0.2</v>
      </c>
    </row>
    <row r="8" ht="15.75" customHeight="1">
      <c r="A8" s="19" t="s">
        <v>36</v>
      </c>
      <c r="B8" s="19"/>
      <c r="C8" s="19"/>
      <c r="D8" s="19"/>
      <c r="E8" s="19"/>
      <c r="F8" s="19"/>
      <c r="H8" s="19" t="s">
        <v>36</v>
      </c>
      <c r="I8" s="19"/>
      <c r="J8" s="19"/>
      <c r="K8" s="19"/>
      <c r="L8" s="19"/>
      <c r="M8" s="19"/>
      <c r="O8" s="4" t="s">
        <v>37</v>
      </c>
      <c r="P8" s="4">
        <f>IF(AND(Debt_fund_taxation!C5="Yes",Debt_fund_taxation!C8&gt;=3),P7*P6,0)</f>
        <v>0</v>
      </c>
    </row>
    <row r="9" ht="15.75" customHeight="1">
      <c r="A9" s="19" t="s">
        <v>38</v>
      </c>
      <c r="B9" s="19" t="s">
        <v>39</v>
      </c>
      <c r="C9" s="19" t="s">
        <v>40</v>
      </c>
      <c r="D9" s="19" t="s">
        <v>41</v>
      </c>
      <c r="E9" s="19" t="s">
        <v>42</v>
      </c>
      <c r="F9" s="19" t="s">
        <v>43</v>
      </c>
      <c r="H9" s="19" t="s">
        <v>38</v>
      </c>
      <c r="I9" s="19" t="s">
        <v>39</v>
      </c>
      <c r="J9" s="19" t="s">
        <v>40</v>
      </c>
      <c r="K9" s="19" t="s">
        <v>41</v>
      </c>
      <c r="L9" s="19" t="s">
        <v>42</v>
      </c>
      <c r="M9" s="19" t="s">
        <v>43</v>
      </c>
      <c r="O9" s="4" t="s">
        <v>44</v>
      </c>
      <c r="P9" s="4">
        <f>P8*(1+B36)</f>
        <v>0</v>
      </c>
    </row>
    <row r="10" ht="15.75" customHeight="1">
      <c r="A10" s="19" t="s">
        <v>45</v>
      </c>
      <c r="B10" s="20">
        <v>0.0</v>
      </c>
      <c r="C10" s="21">
        <v>0.0</v>
      </c>
      <c r="D10" s="22">
        <f>IF(B7&gt;B11,B11,B7)</f>
        <v>250000</v>
      </c>
      <c r="E10" s="22">
        <f>D10</f>
        <v>250000</v>
      </c>
      <c r="F10" s="22">
        <f t="shared" ref="F10:F13" si="1">D10*C10</f>
        <v>0</v>
      </c>
      <c r="H10" s="19" t="s">
        <v>46</v>
      </c>
      <c r="I10" s="20">
        <v>0.0</v>
      </c>
      <c r="J10" s="21">
        <v>0.0</v>
      </c>
      <c r="K10" s="22">
        <f>IF(I7&gt;I11,I11,I7)</f>
        <v>300000</v>
      </c>
      <c r="L10" s="22">
        <f>K10</f>
        <v>300000</v>
      </c>
      <c r="M10" s="22">
        <f t="shared" ref="M10:M15" si="2">K10*J10</f>
        <v>0</v>
      </c>
    </row>
    <row r="11" ht="15.75" customHeight="1">
      <c r="A11" s="19" t="s">
        <v>47</v>
      </c>
      <c r="B11" s="20">
        <v>250000.0</v>
      </c>
      <c r="C11" s="21">
        <v>0.05</v>
      </c>
      <c r="D11" s="22">
        <f t="shared" ref="D11:D12" si="3">IF($B$7&gt;B12,B12-B11,$B$7-E10)</f>
        <v>250000</v>
      </c>
      <c r="E11" s="22">
        <f t="shared" ref="E11:E13" si="4">E10+D11</f>
        <v>500000</v>
      </c>
      <c r="F11" s="22">
        <f t="shared" si="1"/>
        <v>12500</v>
      </c>
      <c r="H11" s="19" t="s">
        <v>48</v>
      </c>
      <c r="I11" s="20">
        <v>300000.0</v>
      </c>
      <c r="J11" s="21">
        <v>0.05</v>
      </c>
      <c r="K11" s="22">
        <f>IF(I7&gt;I12,I12-I11,I7-L10)</f>
        <v>300000</v>
      </c>
      <c r="L11" s="22">
        <f t="shared" ref="L11:L15" si="5">L10+K11</f>
        <v>600000</v>
      </c>
      <c r="M11" s="22">
        <f t="shared" si="2"/>
        <v>15000</v>
      </c>
    </row>
    <row r="12" ht="15.75" customHeight="1">
      <c r="A12" s="19" t="s">
        <v>49</v>
      </c>
      <c r="B12" s="20">
        <v>500000.0</v>
      </c>
      <c r="C12" s="21">
        <v>0.2</v>
      </c>
      <c r="D12" s="22">
        <f t="shared" si="3"/>
        <v>100000</v>
      </c>
      <c r="E12" s="22">
        <f t="shared" si="4"/>
        <v>600000</v>
      </c>
      <c r="F12" s="22">
        <f t="shared" si="1"/>
        <v>20000</v>
      </c>
      <c r="H12" s="19" t="s">
        <v>50</v>
      </c>
      <c r="I12" s="20">
        <v>600000.0</v>
      </c>
      <c r="J12" s="21">
        <v>0.1</v>
      </c>
      <c r="K12" s="22">
        <f>IF(I7&gt;I13,I13-I12,I7-L11)</f>
        <v>150000</v>
      </c>
      <c r="L12" s="22">
        <f t="shared" si="5"/>
        <v>750000</v>
      </c>
      <c r="M12" s="22">
        <f t="shared" si="2"/>
        <v>15000</v>
      </c>
    </row>
    <row r="13" ht="15.75" customHeight="1">
      <c r="A13" s="19" t="s">
        <v>51</v>
      </c>
      <c r="B13" s="20">
        <v>1000000.0</v>
      </c>
      <c r="C13" s="21">
        <v>0.3</v>
      </c>
      <c r="D13" s="22">
        <f>IF(B7&gt;B13,B7-B13,0)</f>
        <v>0</v>
      </c>
      <c r="E13" s="22">
        <f t="shared" si="4"/>
        <v>600000</v>
      </c>
      <c r="F13" s="22">
        <f t="shared" si="1"/>
        <v>0</v>
      </c>
      <c r="H13" s="19" t="s">
        <v>52</v>
      </c>
      <c r="I13" s="20">
        <v>900000.0</v>
      </c>
      <c r="J13" s="21">
        <v>0.15</v>
      </c>
      <c r="K13" s="22">
        <f>IF(I7&gt;I14,I14-I13,I7-L12)</f>
        <v>0</v>
      </c>
      <c r="L13" s="22">
        <f t="shared" si="5"/>
        <v>750000</v>
      </c>
      <c r="M13" s="22">
        <f t="shared" si="2"/>
        <v>0</v>
      </c>
    </row>
    <row r="14" ht="15.75" customHeight="1">
      <c r="A14" s="4" t="s">
        <v>53</v>
      </c>
      <c r="B14" s="17">
        <f>SUM(F10:F13)</f>
        <v>32500</v>
      </c>
      <c r="H14" s="19" t="s">
        <v>54</v>
      </c>
      <c r="I14" s="20">
        <v>1200000.0</v>
      </c>
      <c r="J14" s="21">
        <v>0.2</v>
      </c>
      <c r="K14" s="22">
        <f>IF(I7&gt;I15,I15-I14,I7-L13)</f>
        <v>0</v>
      </c>
      <c r="L14" s="22">
        <f t="shared" si="5"/>
        <v>750000</v>
      </c>
      <c r="M14" s="22">
        <f t="shared" si="2"/>
        <v>0</v>
      </c>
    </row>
    <row r="15" ht="15.75" customHeight="1">
      <c r="A15" s="4" t="s">
        <v>55</v>
      </c>
      <c r="B15" s="4" t="str">
        <f>IF(B7&lt;=B4,"yes","no")</f>
        <v>no</v>
      </c>
      <c r="H15" s="19" t="s">
        <v>56</v>
      </c>
      <c r="I15" s="20">
        <v>1500000.0</v>
      </c>
      <c r="J15" s="21">
        <v>0.3</v>
      </c>
      <c r="K15" s="22">
        <f>IF(I7&gt;I15,I7-I15,0)</f>
        <v>0</v>
      </c>
      <c r="L15" s="22">
        <f t="shared" si="5"/>
        <v>750000</v>
      </c>
      <c r="M15" s="22">
        <f t="shared" si="2"/>
        <v>0</v>
      </c>
    </row>
    <row r="16" ht="15.75" customHeight="1">
      <c r="A16" s="4" t="s">
        <v>57</v>
      </c>
      <c r="B16" s="18">
        <v>0.04</v>
      </c>
      <c r="H16" s="4" t="s">
        <v>53</v>
      </c>
      <c r="I16" s="17">
        <f>SUM(M10:M15)</f>
        <v>30000</v>
      </c>
    </row>
    <row r="17" ht="15.75" customHeight="1">
      <c r="A17" s="4" t="s">
        <v>58</v>
      </c>
      <c r="B17" s="17">
        <f>B14*(1+B16)</f>
        <v>33800</v>
      </c>
      <c r="H17" s="7" t="s">
        <v>59</v>
      </c>
      <c r="I17" s="17">
        <f>if(I7&lt;I4,0,I7-I4)</f>
        <v>50000</v>
      </c>
    </row>
    <row r="18" ht="15.75" customHeight="1">
      <c r="A18" s="4" t="s">
        <v>60</v>
      </c>
      <c r="B18" s="17">
        <f>IF(B15="yes",0,B17)</f>
        <v>33800</v>
      </c>
      <c r="H18" s="4" t="s">
        <v>57</v>
      </c>
      <c r="I18" s="18">
        <v>0.04</v>
      </c>
    </row>
    <row r="19" ht="15.75" customHeight="1">
      <c r="H19" s="7" t="s">
        <v>61</v>
      </c>
      <c r="I19" s="17">
        <f>min(I16,I17)</f>
        <v>30000</v>
      </c>
    </row>
    <row r="20" ht="15.75" customHeight="1">
      <c r="H20" s="4" t="s">
        <v>60</v>
      </c>
      <c r="I20" s="17">
        <f>I19*(1+I18)</f>
        <v>31200</v>
      </c>
    </row>
    <row r="21" ht="15.75" customHeight="1"/>
    <row r="22" ht="15.75" customHeight="1">
      <c r="A22" s="4" t="s">
        <v>62</v>
      </c>
      <c r="H22" s="4" t="s">
        <v>62</v>
      </c>
    </row>
    <row r="23" ht="15.75" customHeight="1">
      <c r="A23" s="4" t="s">
        <v>26</v>
      </c>
      <c r="B23" s="17">
        <f>IF(OR(Debt_fund_taxation!C8&lt;3,Debt_fund_taxation!C5="No"),Debt_fund_taxation!C2+P5,Debt_fund_taxation!C2)</f>
        <v>814490</v>
      </c>
      <c r="H23" s="4" t="s">
        <v>26</v>
      </c>
      <c r="I23" s="17">
        <f>IF(OR(Debt_fund_taxation!C8&lt;3,Debt_fund_taxation!C5="No"),Debt_fund_taxation!C2+P5,Debt_fund_taxation!C2)</f>
        <v>814490</v>
      </c>
    </row>
    <row r="24" ht="15.75" customHeight="1">
      <c r="A24" s="4" t="s">
        <v>28</v>
      </c>
      <c r="B24" s="17">
        <f>B4</f>
        <v>500000</v>
      </c>
      <c r="H24" s="4" t="s">
        <v>28</v>
      </c>
      <c r="I24" s="17">
        <f t="shared" ref="I24:I25" si="6">I4</f>
        <v>700000</v>
      </c>
    </row>
    <row r="25" ht="15.75" customHeight="1">
      <c r="A25" s="4" t="s">
        <v>30</v>
      </c>
      <c r="B25" s="17">
        <v>50000.0</v>
      </c>
      <c r="H25" s="4" t="s">
        <v>30</v>
      </c>
      <c r="I25" s="17">
        <f t="shared" si="6"/>
        <v>50000</v>
      </c>
    </row>
    <row r="26" ht="15.75" customHeight="1">
      <c r="A26" s="4" t="s">
        <v>32</v>
      </c>
      <c r="B26" s="17">
        <f>Debt_fund_taxation!C3</f>
        <v>150000</v>
      </c>
      <c r="H26" s="4" t="s">
        <v>32</v>
      </c>
      <c r="I26" s="4">
        <v>0.0</v>
      </c>
    </row>
    <row r="27" ht="15.75" customHeight="1">
      <c r="A27" s="4" t="s">
        <v>34</v>
      </c>
      <c r="B27" s="17">
        <f>IF((B23-B25-B26)&lt;0,0,(B23-B25-B26))</f>
        <v>614490</v>
      </c>
      <c r="H27" s="4" t="s">
        <v>34</v>
      </c>
      <c r="I27" s="17">
        <f>IF((I23-I25-I26)&lt;0,0,(I23-I25-I26))</f>
        <v>764490</v>
      </c>
    </row>
    <row r="28" ht="15.75" customHeight="1">
      <c r="A28" s="19" t="s">
        <v>36</v>
      </c>
      <c r="B28" s="19"/>
      <c r="C28" s="19"/>
      <c r="D28" s="19"/>
      <c r="E28" s="19"/>
      <c r="F28" s="19"/>
      <c r="H28" s="19" t="s">
        <v>36</v>
      </c>
      <c r="I28" s="19"/>
      <c r="J28" s="19"/>
      <c r="K28" s="19"/>
      <c r="L28" s="19"/>
      <c r="M28" s="19"/>
    </row>
    <row r="29" ht="15.75" customHeight="1">
      <c r="A29" s="19" t="s">
        <v>38</v>
      </c>
      <c r="B29" s="19" t="s">
        <v>39</v>
      </c>
      <c r="C29" s="19" t="s">
        <v>40</v>
      </c>
      <c r="D29" s="19" t="s">
        <v>41</v>
      </c>
      <c r="E29" s="19" t="s">
        <v>42</v>
      </c>
      <c r="F29" s="19" t="s">
        <v>43</v>
      </c>
      <c r="H29" s="19" t="s">
        <v>38</v>
      </c>
      <c r="I29" s="19" t="s">
        <v>39</v>
      </c>
      <c r="J29" s="19" t="s">
        <v>40</v>
      </c>
      <c r="K29" s="19" t="s">
        <v>41</v>
      </c>
      <c r="L29" s="19" t="s">
        <v>42</v>
      </c>
      <c r="M29" s="19" t="s">
        <v>43</v>
      </c>
    </row>
    <row r="30" ht="15.75" customHeight="1">
      <c r="A30" s="19" t="s">
        <v>45</v>
      </c>
      <c r="B30" s="20">
        <v>0.0</v>
      </c>
      <c r="C30" s="21">
        <v>0.0</v>
      </c>
      <c r="D30" s="22">
        <f>IF(B27&gt;B31,B31,B27)</f>
        <v>250000</v>
      </c>
      <c r="E30" s="22">
        <f>D30</f>
        <v>250000</v>
      </c>
      <c r="F30" s="22">
        <f t="shared" ref="F30:F33" si="7">D30*C30</f>
        <v>0</v>
      </c>
      <c r="H30" s="19" t="s">
        <v>46</v>
      </c>
      <c r="I30" s="20">
        <v>0.0</v>
      </c>
      <c r="J30" s="21">
        <v>0.0</v>
      </c>
      <c r="K30" s="22">
        <f>IF(I27&gt;I31,I31,I27)</f>
        <v>300000</v>
      </c>
      <c r="L30" s="22">
        <f>K30</f>
        <v>300000</v>
      </c>
      <c r="M30" s="22">
        <f t="shared" ref="M30:M35" si="8">K30*J30</f>
        <v>0</v>
      </c>
    </row>
    <row r="31" ht="15.75" customHeight="1">
      <c r="A31" s="19" t="s">
        <v>47</v>
      </c>
      <c r="B31" s="20">
        <v>250000.0</v>
      </c>
      <c r="C31" s="21">
        <v>0.05</v>
      </c>
      <c r="D31" s="22">
        <f>IF($B$27&gt;B32,B32-B31,B27-E30)</f>
        <v>250000</v>
      </c>
      <c r="E31" s="22">
        <f t="shared" ref="E31:E33" si="9">E30+D31</f>
        <v>500000</v>
      </c>
      <c r="F31" s="22">
        <f t="shared" si="7"/>
        <v>12500</v>
      </c>
      <c r="H31" s="19" t="s">
        <v>48</v>
      </c>
      <c r="I31" s="20">
        <v>300000.0</v>
      </c>
      <c r="J31" s="21">
        <v>0.05</v>
      </c>
      <c r="K31" s="22">
        <f>IF(I27&gt;I32,I32-I31,I27-L30)</f>
        <v>300000</v>
      </c>
      <c r="L31" s="22">
        <f t="shared" ref="L31:L35" si="10">L30+K31</f>
        <v>600000</v>
      </c>
      <c r="M31" s="22">
        <f t="shared" si="8"/>
        <v>15000</v>
      </c>
    </row>
    <row r="32" ht="15.75" customHeight="1">
      <c r="A32" s="19" t="s">
        <v>49</v>
      </c>
      <c r="B32" s="20">
        <v>500000.0</v>
      </c>
      <c r="C32" s="21">
        <v>0.2</v>
      </c>
      <c r="D32" s="22">
        <f>IF($B$27&gt;B33,B33-B32,B27-E31)</f>
        <v>114490</v>
      </c>
      <c r="E32" s="22">
        <f t="shared" si="9"/>
        <v>614490</v>
      </c>
      <c r="F32" s="22">
        <f t="shared" si="7"/>
        <v>22898</v>
      </c>
      <c r="H32" s="19" t="s">
        <v>50</v>
      </c>
      <c r="I32" s="20">
        <v>600000.0</v>
      </c>
      <c r="J32" s="21">
        <v>0.1</v>
      </c>
      <c r="K32" s="22">
        <f>IF(I27&gt;I33,I33-I32,I27-L31)</f>
        <v>164490</v>
      </c>
      <c r="L32" s="22">
        <f t="shared" si="10"/>
        <v>764490</v>
      </c>
      <c r="M32" s="22">
        <f t="shared" si="8"/>
        <v>16449</v>
      </c>
    </row>
    <row r="33" ht="15.75" customHeight="1">
      <c r="A33" s="19" t="s">
        <v>51</v>
      </c>
      <c r="B33" s="20">
        <v>1000000.0</v>
      </c>
      <c r="C33" s="21">
        <v>0.3</v>
      </c>
      <c r="D33" s="22">
        <f>IF(B27&gt;B33,B27-B33,0)</f>
        <v>0</v>
      </c>
      <c r="E33" s="22">
        <f t="shared" si="9"/>
        <v>614490</v>
      </c>
      <c r="F33" s="22">
        <f t="shared" si="7"/>
        <v>0</v>
      </c>
      <c r="H33" s="19" t="s">
        <v>52</v>
      </c>
      <c r="I33" s="20">
        <v>900000.0</v>
      </c>
      <c r="J33" s="21">
        <v>0.15</v>
      </c>
      <c r="K33" s="22">
        <f>IF(I27&gt;I34,I34-I33,I27-L32)</f>
        <v>0</v>
      </c>
      <c r="L33" s="22">
        <f t="shared" si="10"/>
        <v>764490</v>
      </c>
      <c r="M33" s="22">
        <f t="shared" si="8"/>
        <v>0</v>
      </c>
    </row>
    <row r="34" ht="15.75" customHeight="1">
      <c r="A34" s="4" t="s">
        <v>53</v>
      </c>
      <c r="B34" s="17">
        <f>SUM(F30:F33)</f>
        <v>35398</v>
      </c>
      <c r="H34" s="19" t="s">
        <v>54</v>
      </c>
      <c r="I34" s="20">
        <v>1200000.0</v>
      </c>
      <c r="J34" s="21">
        <v>0.2</v>
      </c>
      <c r="K34" s="22">
        <f>IF(I27&gt;I35,I35-I34,I27-L33)</f>
        <v>0</v>
      </c>
      <c r="L34" s="22">
        <f t="shared" si="10"/>
        <v>764490</v>
      </c>
      <c r="M34" s="22">
        <f t="shared" si="8"/>
        <v>0</v>
      </c>
    </row>
    <row r="35" ht="15.75" customHeight="1">
      <c r="A35" s="4" t="s">
        <v>55</v>
      </c>
      <c r="B35" s="4" t="str">
        <f>IF(B27&lt;=B24,"yes","no")</f>
        <v>no</v>
      </c>
      <c r="H35" s="19" t="s">
        <v>56</v>
      </c>
      <c r="I35" s="20">
        <v>1500000.0</v>
      </c>
      <c r="J35" s="21">
        <v>0.3</v>
      </c>
      <c r="K35" s="22">
        <f>IF(I27&gt;I35,I27-I35,0)</f>
        <v>0</v>
      </c>
      <c r="L35" s="22">
        <f t="shared" si="10"/>
        <v>764490</v>
      </c>
      <c r="M35" s="22">
        <f t="shared" si="8"/>
        <v>0</v>
      </c>
    </row>
    <row r="36" ht="15.75" customHeight="1">
      <c r="A36" s="4" t="s">
        <v>57</v>
      </c>
      <c r="B36" s="18">
        <f>B16</f>
        <v>0.04</v>
      </c>
      <c r="H36" s="4" t="s">
        <v>53</v>
      </c>
      <c r="I36" s="17">
        <f>SUM(M30:M35)</f>
        <v>31449</v>
      </c>
    </row>
    <row r="37" ht="15.75" customHeight="1">
      <c r="A37" s="4" t="s">
        <v>58</v>
      </c>
      <c r="B37" s="17">
        <f>B34*(1+B36)</f>
        <v>36813.92</v>
      </c>
      <c r="H37" s="7" t="s">
        <v>59</v>
      </c>
      <c r="I37" s="17">
        <f>if(I27&lt;I24,0,I27-I24)</f>
        <v>64490</v>
      </c>
    </row>
    <row r="38" ht="15.75" customHeight="1">
      <c r="A38" s="4" t="s">
        <v>60</v>
      </c>
      <c r="B38" s="17">
        <f>IF(B35="yes",0,B37)</f>
        <v>36813.92</v>
      </c>
      <c r="H38" s="4" t="s">
        <v>57</v>
      </c>
      <c r="I38" s="18">
        <v>0.04</v>
      </c>
    </row>
    <row r="39" ht="15.75" customHeight="1">
      <c r="H39" s="7" t="s">
        <v>61</v>
      </c>
      <c r="I39" s="17">
        <f>min(I36,I37)</f>
        <v>31449</v>
      </c>
    </row>
    <row r="40" ht="15.75" customHeight="1">
      <c r="A40" s="4" t="s">
        <v>63</v>
      </c>
      <c r="B40" s="17">
        <f>B38+P9</f>
        <v>36813.92</v>
      </c>
      <c r="H40" s="4" t="s">
        <v>60</v>
      </c>
      <c r="I40" s="17">
        <f>I39*(1+I38)</f>
        <v>32706.96</v>
      </c>
    </row>
    <row r="41" ht="15.75" customHeight="1"/>
    <row r="42" ht="15.75" customHeight="1">
      <c r="H42" s="4" t="s">
        <v>63</v>
      </c>
      <c r="I42" s="17">
        <f>I40+P9</f>
        <v>32706.96</v>
      </c>
    </row>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file>