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vide inputs" sheetId="1" r:id="rId4"/>
    <sheet state="visible" name="Calculation" sheetId="2" r:id="rId5"/>
  </sheets>
  <definedNames/>
  <calcPr/>
  <extLst>
    <ext uri="GoogleSheetsCustomDataVersion1">
      <go:sheetsCustomData xmlns:go="http://customooxmlschemas.google.com/" r:id="rId6" roundtripDataSignature="AMtx7mghPdqV7JMpIKErpyfXv6zfDyc86w=="/>
    </ext>
  </extLst>
</workbook>
</file>

<file path=xl/sharedStrings.xml><?xml version="1.0" encoding="utf-8"?>
<sst xmlns="http://schemas.openxmlformats.org/spreadsheetml/2006/main" count="91" uniqueCount="68">
  <si>
    <t>Income details</t>
  </si>
  <si>
    <t>Notes</t>
  </si>
  <si>
    <t>Basic pay</t>
  </si>
  <si>
    <t>&lt;-- Annual amount</t>
  </si>
  <si>
    <t>Enter in green cells only</t>
  </si>
  <si>
    <t>Other allowences</t>
  </si>
  <si>
    <t>Provide your basic pay and HRA earned and add rest in other allowances</t>
  </si>
  <si>
    <t>Place of employment</t>
  </si>
  <si>
    <t>Metro</t>
  </si>
  <si>
    <r>
      <rPr>
        <rFont val="Arial"/>
        <color rgb="FF000000"/>
        <sz val="10.0"/>
      </rPr>
      <t xml:space="preserve">Note you </t>
    </r>
    <r>
      <rPr>
        <rFont val="Arial"/>
        <b/>
        <color rgb="FF000000"/>
        <sz val="10.0"/>
      </rPr>
      <t>cannot claim interest on home loan</t>
    </r>
    <r>
      <rPr>
        <rFont val="Arial"/>
        <color rgb="FF000000"/>
        <sz val="10.0"/>
      </rPr>
      <t xml:space="preserve"> if you live in the same city and also claim HRA for rent. If your owned property is in a different city from where you work, you may claim</t>
    </r>
  </si>
  <si>
    <t>HRA</t>
  </si>
  <si>
    <t xml:space="preserve">This sheet does not consider many other heads of income such as capital gains. It predominantly considers salary income and the key deductions allowed under Sec 80C and 80D. </t>
  </si>
  <si>
    <t>Total salary income</t>
  </si>
  <si>
    <t>This sheet is not a calculator for computing your annual taxes and PrimeInvestor is not responsible for its accuracy. It can give you a broad idea about what tax regime fits you based on your primary salary income</t>
  </si>
  <si>
    <t>Income from other sources</t>
  </si>
  <si>
    <t>Exemptions</t>
  </si>
  <si>
    <t>80C (ELSS/PPF etc)</t>
  </si>
  <si>
    <t>80D Medical insurance</t>
  </si>
  <si>
    <t>80CCD(1B) NPS</t>
  </si>
  <si>
    <t>Sec.24 Home loan interest</t>
  </si>
  <si>
    <t>House rent paid</t>
  </si>
  <si>
    <t>Analysis</t>
  </si>
  <si>
    <t>Your tax in the Old regime is</t>
  </si>
  <si>
    <t>Your tax in the New regime is</t>
  </si>
  <si>
    <t>primeinvestor.in</t>
  </si>
  <si>
    <t>old regime</t>
  </si>
  <si>
    <t>Better one?</t>
  </si>
  <si>
    <t>new regime</t>
  </si>
  <si>
    <t>Total income</t>
  </si>
  <si>
    <t>Rebate cut off</t>
  </si>
  <si>
    <t>rebate eligeble</t>
  </si>
  <si>
    <t>For hra exemption</t>
  </si>
  <si>
    <t>Marginal relief calculation</t>
  </si>
  <si>
    <t>rent paid - 10% basic</t>
  </si>
  <si>
    <t>Marg. rel. tax</t>
  </si>
  <si>
    <t>hra</t>
  </si>
  <si>
    <t>share of basic pay</t>
  </si>
  <si>
    <t>house rent exem</t>
  </si>
  <si>
    <t>80c</t>
  </si>
  <si>
    <t>80d</t>
  </si>
  <si>
    <t>nps</t>
  </si>
  <si>
    <t>home loan intr</t>
  </si>
  <si>
    <t>std deduction</t>
  </si>
  <si>
    <t>total exemptions</t>
  </si>
  <si>
    <t>taxable income</t>
  </si>
  <si>
    <t>slabs and calculation</t>
  </si>
  <si>
    <t>Slab</t>
  </si>
  <si>
    <t>cut off</t>
  </si>
  <si>
    <t>rate</t>
  </si>
  <si>
    <t>Income under slab</t>
  </si>
  <si>
    <t>cum.inc till slab</t>
  </si>
  <si>
    <t>Tax under slab</t>
  </si>
  <si>
    <t>upto 2.5L</t>
  </si>
  <si>
    <t>upto 3L</t>
  </si>
  <si>
    <t>2.5 to 5L</t>
  </si>
  <si>
    <t>3 to 6L</t>
  </si>
  <si>
    <t>5 to 10L</t>
  </si>
  <si>
    <t>6 to 9L</t>
  </si>
  <si>
    <t>above 10L</t>
  </si>
  <si>
    <t>9 to 12L</t>
  </si>
  <si>
    <t>12 to 15L</t>
  </si>
  <si>
    <t>above 15L</t>
  </si>
  <si>
    <t>Total tax</t>
  </si>
  <si>
    <t>Slab tax</t>
  </si>
  <si>
    <t>Cess</t>
  </si>
  <si>
    <t>Tax with Cess</t>
  </si>
  <si>
    <t>Effective tax</t>
  </si>
  <si>
    <t>Tax with rebate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</si>
</sst>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₹]#,##0"/>
  </numFmts>
  <fonts count="7">
    <font>
      <sz val="10.0"/>
      <color rgb="FF000000"/>
      <name val="Arial"/>
      <scheme val="minor"/>
    </font>
    <font>
      <b/>
      <sz val="10.0"/>
      <color theme="1"/>
      <name val="Arial"/>
    </font>
    <font>
      <b/>
      <sz val="10.0"/>
      <color rgb="FF000000"/>
      <name val="Arial"/>
    </font>
    <font>
      <sz val="10.0"/>
      <color theme="1"/>
      <name val="Arial"/>
    </font>
    <font>
      <sz val="10.0"/>
      <color rgb="FF000000"/>
      <name val="Arial"/>
    </font>
    <font/>
    <font>
      <i/>
      <sz val="10.0"/>
      <color rgb="FF8036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B7B7B7"/>
        <bgColor rgb="FFB7B7B7"/>
      </patternFill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  <fill>
      <patternFill patternType="solid">
        <fgColor rgb="FFD0E0E3"/>
        <bgColor rgb="FFD0E0E3"/>
      </patternFill>
    </fill>
    <fill>
      <patternFill patternType="solid">
        <fgColor rgb="FFFFE599"/>
        <bgColor rgb="FFFFE599"/>
      </patternFill>
    </fill>
    <fill>
      <patternFill patternType="solid">
        <fgColor rgb="FFA2C4C9"/>
        <bgColor rgb="FFA2C4C9"/>
      </patternFill>
    </fill>
    <fill>
      <patternFill patternType="solid">
        <fgColor rgb="FFF4CCCC"/>
        <bgColor rgb="FFF4CCCC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shrinkToFit="0" wrapText="1"/>
    </xf>
    <xf borderId="0" fillId="0" fontId="3" numFmtId="0" xfId="0" applyFont="1"/>
    <xf borderId="1" fillId="0" fontId="3" numFmtId="0" xfId="0" applyBorder="1" applyFont="1"/>
    <xf borderId="1" fillId="2" fontId="3" numFmtId="164" xfId="0" applyAlignment="1" applyBorder="1" applyFill="1" applyFont="1" applyNumberFormat="1">
      <alignment readingOrder="0"/>
    </xf>
    <xf borderId="1" fillId="0" fontId="3" numFmtId="0" xfId="0" applyAlignment="1" applyBorder="1" applyFont="1">
      <alignment shrinkToFit="0" wrapText="1"/>
    </xf>
    <xf borderId="1" fillId="0" fontId="4" numFmtId="0" xfId="0" applyAlignment="1" applyBorder="1" applyFont="1">
      <alignment shrinkToFit="0" wrapText="1"/>
    </xf>
    <xf borderId="1" fillId="2" fontId="3" numFmtId="0" xfId="0" applyAlignment="1" applyBorder="1" applyFont="1">
      <alignment horizontal="right"/>
    </xf>
    <xf borderId="1" fillId="3" fontId="3" numFmtId="164" xfId="0" applyBorder="1" applyFill="1" applyFont="1" applyNumberFormat="1"/>
    <xf borderId="1" fillId="2" fontId="3" numFmtId="164" xfId="0" applyBorder="1" applyFont="1" applyNumberFormat="1"/>
    <xf borderId="1" fillId="0" fontId="3" numFmtId="164" xfId="0" applyBorder="1" applyFont="1" applyNumberFormat="1"/>
    <xf borderId="0" fillId="0" fontId="4" numFmtId="0" xfId="0" applyAlignment="1" applyFont="1">
      <alignment horizontal="center"/>
    </xf>
    <xf borderId="2" fillId="0" fontId="1" numFmtId="0" xfId="0" applyAlignment="1" applyBorder="1" applyFont="1">
      <alignment horizontal="center"/>
    </xf>
    <xf borderId="3" fillId="0" fontId="5" numFmtId="0" xfId="0" applyBorder="1" applyFont="1"/>
    <xf borderId="0" fillId="0" fontId="6" numFmtId="0" xfId="0" applyAlignment="1" applyFont="1">
      <alignment horizontal="center"/>
    </xf>
    <xf borderId="4" fillId="4" fontId="3" numFmtId="0" xfId="0" applyBorder="1" applyFill="1" applyFont="1"/>
    <xf borderId="4" fillId="4" fontId="3" numFmtId="164" xfId="0" applyBorder="1" applyFont="1" applyNumberFormat="1"/>
    <xf borderId="4" fillId="5" fontId="3" numFmtId="0" xfId="0" applyBorder="1" applyFill="1" applyFont="1"/>
    <xf borderId="4" fillId="5" fontId="3" numFmtId="164" xfId="0" applyBorder="1" applyFont="1" applyNumberFormat="1"/>
    <xf borderId="4" fillId="6" fontId="3" numFmtId="0" xfId="0" applyBorder="1" applyFill="1" applyFont="1"/>
    <xf borderId="4" fillId="6" fontId="3" numFmtId="164" xfId="0" applyBorder="1" applyFont="1" applyNumberFormat="1"/>
    <xf borderId="4" fillId="7" fontId="3" numFmtId="0" xfId="0" applyBorder="1" applyFill="1" applyFont="1"/>
    <xf borderId="4" fillId="7" fontId="3" numFmtId="164" xfId="0" applyBorder="1" applyFont="1" applyNumberFormat="1"/>
    <xf borderId="4" fillId="8" fontId="3" numFmtId="0" xfId="0" applyBorder="1" applyFill="1" applyFont="1"/>
    <xf borderId="4" fillId="8" fontId="3" numFmtId="9" xfId="0" applyBorder="1" applyFont="1" applyNumberFormat="1"/>
    <xf borderId="4" fillId="8" fontId="3" numFmtId="164" xfId="0" applyBorder="1" applyFont="1" applyNumberFormat="1"/>
    <xf borderId="4" fillId="9" fontId="3" numFmtId="0" xfId="0" applyBorder="1" applyFill="1" applyFont="1"/>
    <xf borderId="4" fillId="9" fontId="3" numFmtId="164" xfId="0" applyBorder="1" applyFont="1" applyNumberFormat="1"/>
    <xf borderId="4" fillId="9" fontId="3" numFmtId="0" xfId="0" applyAlignment="1" applyBorder="1" applyFont="1">
      <alignment readingOrder="0"/>
    </xf>
    <xf borderId="4" fillId="9" fontId="3" numFmtId="9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1619250</xdr:colOff>
      <xdr:row>16</xdr:row>
      <xdr:rowOff>76200</xdr:rowOff>
    </xdr:from>
    <xdr:ext cx="1857375" cy="523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5.63"/>
    <col customWidth="1" min="2" max="2" width="22.13"/>
    <col customWidth="1" min="6" max="6" width="67.88"/>
  </cols>
  <sheetData>
    <row r="1" ht="15.75" customHeight="1">
      <c r="B1" s="1" t="s">
        <v>0</v>
      </c>
      <c r="F1" s="2" t="s">
        <v>1</v>
      </c>
    </row>
    <row r="2" ht="15.75" customHeight="1">
      <c r="A2" s="3"/>
      <c r="B2" s="4" t="s">
        <v>2</v>
      </c>
      <c r="C2" s="5">
        <v>751000.0</v>
      </c>
      <c r="D2" s="3" t="s">
        <v>3</v>
      </c>
      <c r="F2" s="6" t="s">
        <v>4</v>
      </c>
    </row>
    <row r="3" ht="15.75" customHeight="1">
      <c r="A3" s="3"/>
      <c r="B3" s="4" t="s">
        <v>5</v>
      </c>
      <c r="C3" s="5">
        <v>0.0</v>
      </c>
      <c r="D3" s="3" t="s">
        <v>3</v>
      </c>
      <c r="F3" s="7" t="s">
        <v>6</v>
      </c>
    </row>
    <row r="4" ht="15.75" customHeight="1">
      <c r="A4" s="3"/>
      <c r="B4" s="4" t="s">
        <v>7</v>
      </c>
      <c r="C4" s="8" t="s">
        <v>8</v>
      </c>
      <c r="F4" s="7" t="s">
        <v>9</v>
      </c>
    </row>
    <row r="5" ht="15.75" customHeight="1">
      <c r="A5" s="3"/>
      <c r="B5" s="4" t="s">
        <v>10</v>
      </c>
      <c r="C5" s="5">
        <v>0.0</v>
      </c>
      <c r="D5" s="3" t="s">
        <v>3</v>
      </c>
      <c r="F5" s="7" t="s">
        <v>11</v>
      </c>
    </row>
    <row r="6" ht="15.75" customHeight="1">
      <c r="A6" s="3"/>
      <c r="B6" s="4" t="s">
        <v>12</v>
      </c>
      <c r="C6" s="9">
        <f>C2+C3+C5</f>
        <v>751000</v>
      </c>
      <c r="F6" s="7" t="s">
        <v>13</v>
      </c>
    </row>
    <row r="7" ht="15.75" customHeight="1">
      <c r="A7" s="3"/>
      <c r="B7" s="4" t="s">
        <v>14</v>
      </c>
      <c r="C7" s="5">
        <v>0.0</v>
      </c>
      <c r="D7" s="3" t="s">
        <v>3</v>
      </c>
    </row>
    <row r="8" ht="15.75" customHeight="1"/>
    <row r="9" ht="15.75" customHeight="1">
      <c r="B9" s="1" t="s">
        <v>15</v>
      </c>
    </row>
    <row r="10" ht="15.75" customHeight="1">
      <c r="B10" s="4" t="s">
        <v>16</v>
      </c>
      <c r="C10" s="5">
        <v>0.0</v>
      </c>
      <c r="D10" s="3" t="s">
        <v>3</v>
      </c>
    </row>
    <row r="11" ht="15.75" customHeight="1">
      <c r="B11" s="4" t="s">
        <v>17</v>
      </c>
      <c r="C11" s="5">
        <v>0.0</v>
      </c>
      <c r="D11" s="3" t="s">
        <v>3</v>
      </c>
    </row>
    <row r="12" ht="15.75" customHeight="1">
      <c r="B12" s="4" t="s">
        <v>18</v>
      </c>
      <c r="C12" s="5">
        <v>0.0</v>
      </c>
      <c r="D12" s="3" t="s">
        <v>3</v>
      </c>
    </row>
    <row r="13" ht="15.75" customHeight="1">
      <c r="B13" s="4" t="s">
        <v>19</v>
      </c>
      <c r="C13" s="10">
        <v>0.0</v>
      </c>
      <c r="D13" s="3" t="s">
        <v>3</v>
      </c>
    </row>
    <row r="14" ht="15.75" customHeight="1">
      <c r="B14" s="4" t="s">
        <v>20</v>
      </c>
      <c r="C14" s="10">
        <v>0.0</v>
      </c>
      <c r="D14" s="3" t="s">
        <v>3</v>
      </c>
    </row>
    <row r="15" ht="15.75" customHeight="1"/>
    <row r="16" ht="15.75" customHeight="1">
      <c r="B16" s="1" t="s">
        <v>21</v>
      </c>
    </row>
    <row r="17" ht="15.75" customHeight="1">
      <c r="B17" s="4" t="s">
        <v>22</v>
      </c>
      <c r="C17" s="11">
        <f>Calculation!B28</f>
        <v>54808</v>
      </c>
      <c r="F17" s="12"/>
    </row>
    <row r="18" ht="15.75" customHeight="1">
      <c r="B18" s="4" t="s">
        <v>23</v>
      </c>
      <c r="C18" s="11">
        <f>Calculation!I28</f>
        <v>1040</v>
      </c>
    </row>
    <row r="19" ht="15.75" customHeight="1">
      <c r="B19" s="13" t="str">
        <f>"You are better off with the "&amp;Calculation!E1&amp;" tax regime"</f>
        <v>You are better off with the new tax regime</v>
      </c>
      <c r="C19" s="14"/>
    </row>
    <row r="20" ht="15.75" customHeight="1">
      <c r="F20" s="15" t="s">
        <v>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C1"/>
    <mergeCell ref="B9:C9"/>
    <mergeCell ref="B16:C16"/>
    <mergeCell ref="F17:F19"/>
    <mergeCell ref="B19:C19"/>
  </mergeCells>
  <dataValidations>
    <dataValidation type="list" allowBlank="1" showErrorMessage="1" sqref="C4">
      <formula1>"Metro,Non-Metro"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sheetData>
    <row r="1" ht="15.75" customHeight="1">
      <c r="A1" s="3" t="s">
        <v>25</v>
      </c>
      <c r="D1" s="3" t="s">
        <v>26</v>
      </c>
      <c r="E1" s="3" t="str">
        <f>IF(B28&lt;I28,"old","new")</f>
        <v>new</v>
      </c>
      <c r="I1" s="3" t="s">
        <v>27</v>
      </c>
    </row>
    <row r="2" ht="15.75" customHeight="1">
      <c r="A2" s="16" t="s">
        <v>28</v>
      </c>
      <c r="B2" s="17">
        <f>'Provide inputs'!C6+'Provide inputs'!C7</f>
        <v>751000</v>
      </c>
      <c r="H2" s="16" t="s">
        <v>28</v>
      </c>
      <c r="I2" s="17">
        <f>'Provide inputs'!C6+'Provide inputs'!C7</f>
        <v>751000</v>
      </c>
    </row>
    <row r="3" ht="15.75" customHeight="1">
      <c r="A3" s="16" t="s">
        <v>29</v>
      </c>
      <c r="B3" s="17">
        <v>500000.0</v>
      </c>
      <c r="H3" s="16" t="s">
        <v>29</v>
      </c>
      <c r="I3" s="17">
        <v>700000.0</v>
      </c>
    </row>
    <row r="4" ht="15.75" customHeight="1">
      <c r="A4" s="16" t="s">
        <v>30</v>
      </c>
      <c r="B4" s="16" t="str">
        <f>IF(B16&lt;=B3,"Yes","No")</f>
        <v>No</v>
      </c>
      <c r="H4" s="16" t="s">
        <v>30</v>
      </c>
      <c r="I4" s="16" t="str">
        <f>IF(I16&lt;=I3,"Yes","No")</f>
        <v>No</v>
      </c>
    </row>
    <row r="5" ht="15.75" customHeight="1">
      <c r="A5" s="18" t="s">
        <v>31</v>
      </c>
      <c r="B5" s="18"/>
      <c r="H5" s="18" t="s">
        <v>32</v>
      </c>
      <c r="I5" s="18"/>
    </row>
    <row r="6" ht="15.75" customHeight="1">
      <c r="A6" s="18" t="s">
        <v>33</v>
      </c>
      <c r="B6" s="19">
        <f>'Provide inputs'!C14-0.1*'Provide inputs'!C2</f>
        <v>-75100</v>
      </c>
      <c r="H6" s="18" t="s">
        <v>34</v>
      </c>
      <c r="I6" s="19">
        <f>if(I16&lt;I3,0,I16-I3)</f>
        <v>1000</v>
      </c>
    </row>
    <row r="7" ht="15.75" customHeight="1">
      <c r="A7" s="18" t="s">
        <v>35</v>
      </c>
      <c r="B7" s="19">
        <f>'Provide inputs'!C5</f>
        <v>0</v>
      </c>
    </row>
    <row r="8" ht="15.75" customHeight="1">
      <c r="A8" s="18" t="s">
        <v>36</v>
      </c>
      <c r="B8" s="19">
        <f>IF('Provide inputs'!C4="Metro",0.5*'Provide inputs'!C2,0.4*'Provide inputs'!C2)</f>
        <v>375500</v>
      </c>
    </row>
    <row r="9" ht="15.75" customHeight="1">
      <c r="A9" s="20" t="s">
        <v>37</v>
      </c>
      <c r="B9" s="21">
        <f>if(MIN(B6:B8)&lt;0,0,MIN(B6:B8))</f>
        <v>0</v>
      </c>
    </row>
    <row r="10" ht="15.75" customHeight="1">
      <c r="A10" s="20" t="s">
        <v>38</v>
      </c>
      <c r="B10" s="21">
        <f>IF('Provide inputs'!C10&gt;150000,150000,'Provide inputs'!C10)</f>
        <v>0</v>
      </c>
    </row>
    <row r="11" ht="15.75" customHeight="1">
      <c r="A11" s="20" t="s">
        <v>39</v>
      </c>
      <c r="B11" s="21">
        <f>IF('Provide inputs'!C11&gt;25000,25000,'Provide inputs'!C11)</f>
        <v>0</v>
      </c>
    </row>
    <row r="12" ht="15.75" customHeight="1">
      <c r="A12" s="20" t="s">
        <v>40</v>
      </c>
      <c r="B12" s="21">
        <f>IF('Provide inputs'!C12&gt;50000,50000,'Provide inputs'!C12)</f>
        <v>0</v>
      </c>
    </row>
    <row r="13" ht="15.75" customHeight="1">
      <c r="A13" s="20" t="s">
        <v>41</v>
      </c>
      <c r="B13" s="21">
        <f>IF('Provide inputs'!C13&gt;200000,200000,'Provide inputs'!C13)</f>
        <v>0</v>
      </c>
    </row>
    <row r="14" ht="15.75" customHeight="1">
      <c r="A14" s="20" t="s">
        <v>42</v>
      </c>
      <c r="B14" s="21">
        <v>50000.0</v>
      </c>
      <c r="H14" s="20" t="s">
        <v>42</v>
      </c>
      <c r="I14" s="21">
        <v>50000.0</v>
      </c>
    </row>
    <row r="15" ht="15.75" customHeight="1">
      <c r="A15" s="22" t="s">
        <v>43</v>
      </c>
      <c r="B15" s="23">
        <f>SUM(B9:B14)</f>
        <v>50000</v>
      </c>
      <c r="H15" s="22" t="s">
        <v>43</v>
      </c>
      <c r="I15" s="23">
        <f>SUM(I9:I14)</f>
        <v>50000</v>
      </c>
    </row>
    <row r="16" ht="15.75" customHeight="1">
      <c r="A16" s="22" t="s">
        <v>44</v>
      </c>
      <c r="B16" s="23">
        <f>B2-B15</f>
        <v>701000</v>
      </c>
      <c r="H16" s="22" t="s">
        <v>44</v>
      </c>
      <c r="I16" s="23">
        <f>I2-I15</f>
        <v>701000</v>
      </c>
    </row>
    <row r="17" ht="15.75" customHeight="1">
      <c r="A17" s="24" t="s">
        <v>45</v>
      </c>
      <c r="B17" s="24"/>
      <c r="C17" s="24"/>
      <c r="D17" s="24"/>
      <c r="E17" s="24"/>
      <c r="F17" s="24"/>
      <c r="H17" s="24" t="s">
        <v>45</v>
      </c>
      <c r="I17" s="24"/>
      <c r="J17" s="24"/>
      <c r="K17" s="24"/>
      <c r="L17" s="24"/>
      <c r="M17" s="24"/>
    </row>
    <row r="18" ht="15.75" customHeight="1">
      <c r="A18" s="24" t="s">
        <v>46</v>
      </c>
      <c r="B18" s="24" t="s">
        <v>47</v>
      </c>
      <c r="C18" s="24" t="s">
        <v>48</v>
      </c>
      <c r="D18" s="24" t="s">
        <v>49</v>
      </c>
      <c r="E18" s="24" t="s">
        <v>50</v>
      </c>
      <c r="F18" s="24" t="s">
        <v>51</v>
      </c>
      <c r="H18" s="24" t="s">
        <v>46</v>
      </c>
      <c r="I18" s="24" t="s">
        <v>47</v>
      </c>
      <c r="J18" s="24" t="s">
        <v>48</v>
      </c>
      <c r="K18" s="24" t="s">
        <v>49</v>
      </c>
      <c r="L18" s="24" t="s">
        <v>50</v>
      </c>
      <c r="M18" s="24" t="s">
        <v>51</v>
      </c>
    </row>
    <row r="19" ht="15.75" customHeight="1">
      <c r="A19" s="24" t="s">
        <v>52</v>
      </c>
      <c r="B19" s="24">
        <v>0.0</v>
      </c>
      <c r="C19" s="25">
        <v>0.0</v>
      </c>
      <c r="D19" s="26">
        <f>IF(B16&gt;B20,B20,B16)</f>
        <v>250000</v>
      </c>
      <c r="E19" s="26">
        <f>D19</f>
        <v>250000</v>
      </c>
      <c r="F19" s="26">
        <f t="shared" ref="F19:F22" si="1">D19*C19</f>
        <v>0</v>
      </c>
      <c r="H19" s="24" t="s">
        <v>53</v>
      </c>
      <c r="I19" s="24">
        <v>0.0</v>
      </c>
      <c r="J19" s="25">
        <v>0.0</v>
      </c>
      <c r="K19" s="26">
        <f>IF(I16&gt;I20,I20,I16)</f>
        <v>300000</v>
      </c>
      <c r="L19" s="26">
        <f>K19</f>
        <v>300000</v>
      </c>
      <c r="M19" s="26">
        <f t="shared" ref="M19:M24" si="2">K19*J19</f>
        <v>0</v>
      </c>
    </row>
    <row r="20" ht="15.75" customHeight="1">
      <c r="A20" s="24" t="s">
        <v>54</v>
      </c>
      <c r="B20" s="24">
        <v>250000.0</v>
      </c>
      <c r="C20" s="25">
        <v>0.05</v>
      </c>
      <c r="D20" s="26">
        <f t="shared" ref="D20:D21" si="3">IF($B$16&gt;B21,B21-B20,$B$16-E19)</f>
        <v>250000</v>
      </c>
      <c r="E20" s="26">
        <f t="shared" ref="E20:E22" si="4">E19+D20</f>
        <v>500000</v>
      </c>
      <c r="F20" s="26">
        <f t="shared" si="1"/>
        <v>12500</v>
      </c>
      <c r="H20" s="24" t="s">
        <v>55</v>
      </c>
      <c r="I20" s="24">
        <v>300000.0</v>
      </c>
      <c r="J20" s="25">
        <v>0.05</v>
      </c>
      <c r="K20" s="26">
        <f t="shared" ref="K20:K23" si="5">IF($I$16&gt;I21,I21-I20,$I$16-L19)</f>
        <v>300000</v>
      </c>
      <c r="L20" s="26">
        <f t="shared" ref="L20:L24" si="6">L19+K20</f>
        <v>600000</v>
      </c>
      <c r="M20" s="26">
        <f t="shared" si="2"/>
        <v>15000</v>
      </c>
    </row>
    <row r="21" ht="15.75" customHeight="1">
      <c r="A21" s="24" t="s">
        <v>56</v>
      </c>
      <c r="B21" s="24">
        <v>500000.0</v>
      </c>
      <c r="C21" s="25">
        <v>0.2</v>
      </c>
      <c r="D21" s="26">
        <f t="shared" si="3"/>
        <v>201000</v>
      </c>
      <c r="E21" s="26">
        <f t="shared" si="4"/>
        <v>701000</v>
      </c>
      <c r="F21" s="26">
        <f t="shared" si="1"/>
        <v>40200</v>
      </c>
      <c r="H21" s="24" t="s">
        <v>57</v>
      </c>
      <c r="I21" s="24">
        <v>600000.0</v>
      </c>
      <c r="J21" s="25">
        <v>0.1</v>
      </c>
      <c r="K21" s="26">
        <f t="shared" si="5"/>
        <v>101000</v>
      </c>
      <c r="L21" s="26">
        <f t="shared" si="6"/>
        <v>701000</v>
      </c>
      <c r="M21" s="26">
        <f t="shared" si="2"/>
        <v>10100</v>
      </c>
    </row>
    <row r="22" ht="15.75" customHeight="1">
      <c r="A22" s="24" t="s">
        <v>58</v>
      </c>
      <c r="B22" s="24">
        <v>1000000.0</v>
      </c>
      <c r="C22" s="25">
        <v>0.3</v>
      </c>
      <c r="D22" s="26">
        <f>IF(B16&gt;B22,B16-B22,0)</f>
        <v>0</v>
      </c>
      <c r="E22" s="26">
        <f t="shared" si="4"/>
        <v>701000</v>
      </c>
      <c r="F22" s="26">
        <f t="shared" si="1"/>
        <v>0</v>
      </c>
      <c r="H22" s="24" t="s">
        <v>59</v>
      </c>
      <c r="I22" s="24">
        <v>900000.0</v>
      </c>
      <c r="J22" s="25">
        <v>0.15</v>
      </c>
      <c r="K22" s="26">
        <f t="shared" si="5"/>
        <v>0</v>
      </c>
      <c r="L22" s="26">
        <f t="shared" si="6"/>
        <v>701000</v>
      </c>
      <c r="M22" s="26">
        <f t="shared" si="2"/>
        <v>0</v>
      </c>
    </row>
    <row r="23" ht="15.75" customHeight="1">
      <c r="A23" s="27"/>
      <c r="B23" s="27"/>
      <c r="H23" s="24" t="s">
        <v>60</v>
      </c>
      <c r="I23" s="24">
        <v>1200000.0</v>
      </c>
      <c r="J23" s="25">
        <v>0.2</v>
      </c>
      <c r="K23" s="26">
        <f t="shared" si="5"/>
        <v>0</v>
      </c>
      <c r="L23" s="26">
        <f t="shared" si="6"/>
        <v>701000</v>
      </c>
      <c r="M23" s="26">
        <f t="shared" si="2"/>
        <v>0</v>
      </c>
    </row>
    <row r="24" ht="15.75" customHeight="1">
      <c r="A24" s="27"/>
      <c r="B24" s="27"/>
      <c r="H24" s="24" t="s">
        <v>61</v>
      </c>
      <c r="I24" s="24">
        <v>1500000.0</v>
      </c>
      <c r="J24" s="25">
        <v>0.3</v>
      </c>
      <c r="K24" s="26">
        <f>IF(I16&gt;I24,I16-I24,0)</f>
        <v>0</v>
      </c>
      <c r="L24" s="26">
        <f t="shared" si="6"/>
        <v>701000</v>
      </c>
      <c r="M24" s="26">
        <f t="shared" si="2"/>
        <v>0</v>
      </c>
    </row>
    <row r="25" ht="15.75" customHeight="1">
      <c r="A25" s="27" t="s">
        <v>62</v>
      </c>
      <c r="B25" s="28">
        <f>SUM(F19:F22)</f>
        <v>52700</v>
      </c>
      <c r="H25" s="29" t="s">
        <v>63</v>
      </c>
      <c r="I25" s="28">
        <f>SUM(M19:M24)</f>
        <v>25100</v>
      </c>
    </row>
    <row r="26" ht="15.75" customHeight="1">
      <c r="A26" s="27" t="s">
        <v>64</v>
      </c>
      <c r="B26" s="30">
        <v>0.04</v>
      </c>
      <c r="H26" s="27" t="s">
        <v>64</v>
      </c>
      <c r="I26" s="30">
        <v>0.04</v>
      </c>
    </row>
    <row r="27" ht="15.75" customHeight="1">
      <c r="A27" s="27" t="s">
        <v>65</v>
      </c>
      <c r="B27" s="28">
        <f>B25*(1+B26)</f>
        <v>54808</v>
      </c>
      <c r="H27" s="27" t="s">
        <v>66</v>
      </c>
      <c r="I27" s="28">
        <f>min(I6,I25)</f>
        <v>1000</v>
      </c>
    </row>
    <row r="28" ht="15.75" customHeight="1">
      <c r="A28" s="27" t="s">
        <v>67</v>
      </c>
      <c r="B28" s="28">
        <f>IF(B4="Yes",0,B27)</f>
        <v>54808</v>
      </c>
      <c r="H28" s="29" t="s">
        <v>62</v>
      </c>
      <c r="I28" s="28">
        <f>I27*(1+I26)</f>
        <v>1040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